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6275" windowHeight="7740"/>
  </bookViews>
  <sheets>
    <sheet name="RentOut_Vs_Sell" sheetId="1" r:id="rId1"/>
  </sheets>
  <calcPr calcId="145621"/>
</workbook>
</file>

<file path=xl/calcChain.xml><?xml version="1.0" encoding="utf-8"?>
<calcChain xmlns="http://schemas.openxmlformats.org/spreadsheetml/2006/main">
  <c r="M43" i="1" l="1"/>
  <c r="I54" i="1"/>
  <c r="I55" i="1"/>
  <c r="I56" i="1"/>
  <c r="I57" i="1"/>
  <c r="I58" i="1"/>
  <c r="I45" i="1"/>
  <c r="I46" i="1"/>
  <c r="I47" i="1"/>
  <c r="I48" i="1"/>
  <c r="I49" i="1"/>
  <c r="I50" i="1"/>
  <c r="I51" i="1"/>
  <c r="I52" i="1"/>
  <c r="I53" i="1"/>
  <c r="I44" i="1"/>
  <c r="B45" i="1"/>
  <c r="D26" i="1"/>
  <c r="D27" i="1"/>
  <c r="D28" i="1"/>
  <c r="D29" i="1"/>
  <c r="D25" i="1"/>
  <c r="D37" i="1"/>
  <c r="D36" i="1"/>
  <c r="E36" i="1" s="1"/>
  <c r="D35" i="1"/>
  <c r="E33" i="1"/>
  <c r="C37" i="1" s="1"/>
  <c r="D20" i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D17" i="1"/>
  <c r="H48" i="1" s="1"/>
  <c r="C38" i="1"/>
  <c r="C19" i="1"/>
  <c r="D19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C18" i="1"/>
  <c r="H55" i="1" l="1"/>
  <c r="H57" i="1"/>
  <c r="C44" i="1"/>
  <c r="D44" i="1" s="1"/>
  <c r="H47" i="1"/>
  <c r="H58" i="1"/>
  <c r="H56" i="1"/>
  <c r="M46" i="1"/>
  <c r="N46" i="1" s="1"/>
  <c r="M45" i="1"/>
  <c r="N45" i="1" s="1"/>
  <c r="N43" i="1"/>
  <c r="M44" i="1"/>
  <c r="N44" i="1" s="1"/>
  <c r="H44" i="1"/>
  <c r="B46" i="1"/>
  <c r="H46" i="1"/>
  <c r="H54" i="1"/>
  <c r="C21" i="1"/>
  <c r="D21" i="1" s="1"/>
  <c r="H51" i="1"/>
  <c r="H50" i="1"/>
  <c r="C45" i="1"/>
  <c r="D45" i="1" s="1"/>
  <c r="H53" i="1"/>
  <c r="H49" i="1"/>
  <c r="H45" i="1"/>
  <c r="H52" i="1"/>
  <c r="D18" i="1"/>
  <c r="E44" i="1" s="1"/>
  <c r="P43" i="1" l="1"/>
  <c r="R43" i="1"/>
  <c r="B47" i="1"/>
  <c r="M47" i="1" s="1"/>
  <c r="N47" i="1" s="1"/>
  <c r="J44" i="1"/>
  <c r="K44" i="1" s="1"/>
  <c r="L44" i="1" s="1"/>
  <c r="E45" i="1"/>
  <c r="C46" i="1"/>
  <c r="D46" i="1" s="1"/>
  <c r="R46" i="1" l="1"/>
  <c r="R45" i="1"/>
  <c r="R47" i="1"/>
  <c r="R44" i="1"/>
  <c r="P44" i="1"/>
  <c r="J45" i="1"/>
  <c r="K45" i="1" s="1"/>
  <c r="L45" i="1" s="1"/>
  <c r="P45" i="1" s="1"/>
  <c r="B48" i="1"/>
  <c r="M48" i="1" s="1"/>
  <c r="N48" i="1" s="1"/>
  <c r="E46" i="1"/>
  <c r="C47" i="1"/>
  <c r="D47" i="1" s="1"/>
  <c r="R48" i="1" l="1"/>
  <c r="J46" i="1"/>
  <c r="K46" i="1" s="1"/>
  <c r="L46" i="1" s="1"/>
  <c r="B49" i="1"/>
  <c r="E47" i="1"/>
  <c r="C48" i="1"/>
  <c r="D48" i="1" s="1"/>
  <c r="M49" i="1" l="1"/>
  <c r="N49" i="1" s="1"/>
  <c r="R49" i="1"/>
  <c r="P46" i="1"/>
  <c r="B50" i="1"/>
  <c r="E48" i="1"/>
  <c r="J47" i="1"/>
  <c r="K47" i="1" s="1"/>
  <c r="L47" i="1" s="1"/>
  <c r="C49" i="1"/>
  <c r="D49" i="1" s="1"/>
  <c r="M50" i="1" l="1"/>
  <c r="N50" i="1" s="1"/>
  <c r="R50" i="1"/>
  <c r="P47" i="1"/>
  <c r="B51" i="1"/>
  <c r="E49" i="1"/>
  <c r="J49" i="1" s="1"/>
  <c r="K49" i="1" s="1"/>
  <c r="J48" i="1"/>
  <c r="K48" i="1" s="1"/>
  <c r="L48" i="1" s="1"/>
  <c r="P48" i="1" s="1"/>
  <c r="C50" i="1"/>
  <c r="D50" i="1" s="1"/>
  <c r="M51" i="1" l="1"/>
  <c r="N51" i="1" s="1"/>
  <c r="R51" i="1"/>
  <c r="B52" i="1"/>
  <c r="E50" i="1"/>
  <c r="L49" i="1"/>
  <c r="P49" i="1" s="1"/>
  <c r="C51" i="1"/>
  <c r="D51" i="1" s="1"/>
  <c r="M52" i="1" l="1"/>
  <c r="N52" i="1" s="1"/>
  <c r="R52" i="1"/>
  <c r="B53" i="1"/>
  <c r="J50" i="1"/>
  <c r="K50" i="1" s="1"/>
  <c r="L50" i="1" s="1"/>
  <c r="P50" i="1" s="1"/>
  <c r="E51" i="1"/>
  <c r="J51" i="1" s="1"/>
  <c r="K51" i="1" s="1"/>
  <c r="C52" i="1"/>
  <c r="D52" i="1" s="1"/>
  <c r="M53" i="1" l="1"/>
  <c r="N53" i="1" s="1"/>
  <c r="R53" i="1"/>
  <c r="B54" i="1"/>
  <c r="R54" i="1" s="1"/>
  <c r="E52" i="1"/>
  <c r="J52" i="1" s="1"/>
  <c r="K52" i="1" s="1"/>
  <c r="L51" i="1"/>
  <c r="P51" i="1" s="1"/>
  <c r="C53" i="1"/>
  <c r="C54" i="1" l="1"/>
  <c r="D54" i="1" s="1"/>
  <c r="D53" i="1"/>
  <c r="M54" i="1"/>
  <c r="N54" i="1" s="1"/>
  <c r="B55" i="1"/>
  <c r="R55" i="1" s="1"/>
  <c r="E53" i="1"/>
  <c r="L52" i="1"/>
  <c r="P52" i="1" s="1"/>
  <c r="C55" i="1" l="1"/>
  <c r="D55" i="1" s="1"/>
  <c r="M55" i="1"/>
  <c r="N55" i="1" s="1"/>
  <c r="B56" i="1"/>
  <c r="R56" i="1" s="1"/>
  <c r="J53" i="1"/>
  <c r="K53" i="1" s="1"/>
  <c r="L53" i="1" s="1"/>
  <c r="E54" i="1"/>
  <c r="E55" i="1" s="1"/>
  <c r="E56" i="1" s="1"/>
  <c r="E57" i="1" s="1"/>
  <c r="E58" i="1" s="1"/>
  <c r="C56" i="1" l="1"/>
  <c r="D56" i="1" s="1"/>
  <c r="J56" i="1" s="1"/>
  <c r="K56" i="1" s="1"/>
  <c r="L56" i="1" s="1"/>
  <c r="P53" i="1"/>
  <c r="M56" i="1"/>
  <c r="N56" i="1" s="1"/>
  <c r="J54" i="1"/>
  <c r="K54" i="1" s="1"/>
  <c r="L54" i="1" s="1"/>
  <c r="P54" i="1" s="1"/>
  <c r="J55" i="1"/>
  <c r="K55" i="1" s="1"/>
  <c r="L55" i="1" s="1"/>
  <c r="B57" i="1"/>
  <c r="R57" i="1" s="1"/>
  <c r="C57" i="1" l="1"/>
  <c r="D57" i="1" s="1"/>
  <c r="P56" i="1"/>
  <c r="P55" i="1"/>
  <c r="M57" i="1"/>
  <c r="N57" i="1" s="1"/>
  <c r="B58" i="1"/>
  <c r="R58" i="1" s="1"/>
  <c r="J57" i="1" l="1"/>
  <c r="K57" i="1" s="1"/>
  <c r="L57" i="1" s="1"/>
  <c r="P57" i="1" s="1"/>
  <c r="C58" i="1"/>
  <c r="D58" i="1" s="1"/>
  <c r="M58" i="1"/>
  <c r="N58" i="1"/>
  <c r="J58" i="1"/>
  <c r="K58" i="1" s="1"/>
  <c r="L58" i="1" s="1"/>
  <c r="P58" i="1" l="1"/>
</calcChain>
</file>

<file path=xl/comments1.xml><?xml version="1.0" encoding="utf-8"?>
<comments xmlns="http://schemas.openxmlformats.org/spreadsheetml/2006/main">
  <authors>
    <author>Blake Taylor</author>
  </authors>
  <commentList>
    <comment ref="B8" authorId="0">
      <text>
        <r>
          <rPr>
            <b/>
            <sz val="9"/>
            <color indexed="81"/>
            <rFont val="Tahoma"/>
            <charset val="1"/>
          </rPr>
          <t>FundamentalFinance.com:</t>
        </r>
        <r>
          <rPr>
            <sz val="9"/>
            <color indexed="81"/>
            <rFont val="Tahoma"/>
            <charset val="1"/>
          </rPr>
          <t xml:space="preserve">
If you get cash from selling your home, what kind of annual return will you get from it? Stock market annual returns are typically 8-12% over the long term. If you use it to pay down another mortgage (or put a larger down payment on another house), then this could be the interest rate of that mortgage (3-6%).</t>
        </r>
      </text>
    </comment>
    <comment ref="B9" authorId="0">
      <text>
        <r>
          <rPr>
            <b/>
            <sz val="9"/>
            <color indexed="81"/>
            <rFont val="Tahoma"/>
            <charset val="1"/>
          </rPr>
          <t>FundamentalFinance.com:</t>
        </r>
        <r>
          <rPr>
            <sz val="9"/>
            <color indexed="81"/>
            <rFont val="Tahoma"/>
            <charset val="1"/>
          </rPr>
          <t xml:space="preserve">
How much will home prices appreciate on average? 3.5% has been the typical long term average.</t>
        </r>
      </text>
    </comment>
    <comment ref="B17" authorId="0">
      <text>
        <r>
          <rPr>
            <b/>
            <sz val="9"/>
            <color indexed="81"/>
            <rFont val="Tahoma"/>
            <charset val="1"/>
          </rPr>
          <t>FundamentalFinance.com:</t>
        </r>
        <r>
          <rPr>
            <sz val="9"/>
            <color indexed="81"/>
            <rFont val="Tahoma"/>
            <charset val="1"/>
          </rPr>
          <t xml:space="preserve">
This is only the loan payment. Exclude escrow (property tax, homeowner's insurance, etc.)</t>
        </r>
      </text>
    </comment>
    <comment ref="B27" authorId="0">
      <text>
        <r>
          <rPr>
            <b/>
            <sz val="9"/>
            <color indexed="81"/>
            <rFont val="Tahoma"/>
            <charset val="1"/>
          </rPr>
          <t>FundamentalFinance.com:</t>
        </r>
        <r>
          <rPr>
            <sz val="9"/>
            <color indexed="81"/>
            <rFont val="Tahoma"/>
            <charset val="1"/>
          </rPr>
          <t xml:space="preserve">
Often 1-3%, but can vary.</t>
        </r>
      </text>
    </comment>
    <comment ref="B34" authorId="0">
      <text>
        <r>
          <rPr>
            <b/>
            <sz val="9"/>
            <color indexed="81"/>
            <rFont val="Tahoma"/>
            <charset val="1"/>
          </rPr>
          <t>FundamentalFinance.com:</t>
        </r>
        <r>
          <rPr>
            <sz val="9"/>
            <color indexed="81"/>
            <rFont val="Tahoma"/>
            <charset val="1"/>
          </rPr>
          <t xml:space="preserve">
How much will rent increase every year?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FundamentalFinance.com:</t>
        </r>
        <r>
          <rPr>
            <sz val="9"/>
            <color indexed="81"/>
            <rFont val="Tahoma"/>
            <family val="2"/>
          </rPr>
          <t xml:space="preserve">
Some repairs will be minor, like a disposal. Others will be larger, like A/C fixes or replacing appliances that are included.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FundamentalFinance.com:</t>
        </r>
        <r>
          <rPr>
            <sz val="9"/>
            <color indexed="81"/>
            <rFont val="Tahoma"/>
            <family val="2"/>
          </rPr>
          <t xml:space="preserve">
Typically 8%, but can often be 5-10%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FundamentalFinance.com:</t>
        </r>
        <r>
          <rPr>
            <sz val="9"/>
            <color indexed="81"/>
            <rFont val="Tahoma"/>
            <family val="2"/>
          </rPr>
          <t xml:space="preserve">
Management companies may charge fees for acquiring renters, renewing contracts, sending notices, evicting, etc.</t>
        </r>
      </text>
    </comment>
    <comment ref="N42" authorId="0">
      <text>
        <r>
          <rPr>
            <b/>
            <sz val="9"/>
            <color indexed="81"/>
            <rFont val="Tahoma"/>
            <family val="2"/>
          </rPr>
          <t>FundamentalFinance.com:</t>
        </r>
        <r>
          <rPr>
            <sz val="9"/>
            <color indexed="81"/>
            <rFont val="Tahoma"/>
            <family val="2"/>
          </rPr>
          <t xml:space="preserve">
This is what your house is worth to you when you sell it</t>
        </r>
      </text>
    </comment>
    <comment ref="P42" authorId="0">
      <text>
        <r>
          <rPr>
            <b/>
            <sz val="9"/>
            <color indexed="81"/>
            <rFont val="Tahoma"/>
            <family val="2"/>
          </rPr>
          <t>FundamentalFinance.com:</t>
        </r>
        <r>
          <rPr>
            <sz val="9"/>
            <color indexed="81"/>
            <rFont val="Tahoma"/>
            <family val="2"/>
          </rPr>
          <t xml:space="preserve">
This is your total cash flow plus the gain you would make from selling your house (after renting it out)</t>
        </r>
      </text>
    </comment>
  </commentList>
</comments>
</file>

<file path=xl/sharedStrings.xml><?xml version="1.0" encoding="utf-8"?>
<sst xmlns="http://schemas.openxmlformats.org/spreadsheetml/2006/main" count="53" uniqueCount="47">
  <si>
    <t>Tax Rate</t>
  </si>
  <si>
    <t>Return on Cash</t>
  </si>
  <si>
    <t>House Information</t>
  </si>
  <si>
    <t>Value</t>
  </si>
  <si>
    <t>Mortgage Outstanding</t>
  </si>
  <si>
    <t>% of Time Vacant</t>
  </si>
  <si>
    <t>Expected Avg Home Appreciation</t>
  </si>
  <si>
    <t>Management Commission</t>
  </si>
  <si>
    <t>Management Fees</t>
  </si>
  <si>
    <t>Monthly</t>
  </si>
  <si>
    <t>Annual</t>
  </si>
  <si>
    <t>Loan Payment</t>
  </si>
  <si>
    <t>Property Tax</t>
  </si>
  <si>
    <t>Rental Insurance</t>
  </si>
  <si>
    <t>HOA</t>
  </si>
  <si>
    <t>Repairs</t>
  </si>
  <si>
    <t>Expected Annual Rent Increase</t>
  </si>
  <si>
    <t>Total House Payments</t>
  </si>
  <si>
    <t>Rental Information</t>
  </si>
  <si>
    <t>House Sale Information</t>
  </si>
  <si>
    <t>House Payment Information</t>
  </si>
  <si>
    <t>Buyer's Realtor Commission</t>
  </si>
  <si>
    <t>Seller's Realtor Commission</t>
  </si>
  <si>
    <t>Closing costs paid by Seller</t>
  </si>
  <si>
    <t>Post-Inspection Fixes</t>
  </si>
  <si>
    <t>Other Closing Costs</t>
  </si>
  <si>
    <t>%</t>
  </si>
  <si>
    <t>Amount</t>
  </si>
  <si>
    <t>Rent</t>
  </si>
  <si>
    <t>Rental Income</t>
  </si>
  <si>
    <t>Year</t>
  </si>
  <si>
    <t>Insurance</t>
  </si>
  <si>
    <t>Cash Flow</t>
  </si>
  <si>
    <t>House Payment</t>
  </si>
  <si>
    <t>Depreciation</t>
  </si>
  <si>
    <t>Taxable Profit</t>
  </si>
  <si>
    <t>Tax</t>
  </si>
  <si>
    <t>Renting Expenses</t>
  </si>
  <si>
    <t>Mortgage Interest Rate</t>
  </si>
  <si>
    <t>House Value, Net of Selling Expenses and Mortgage</t>
  </si>
  <si>
    <t>Cumulative Profit from Renting before Selling</t>
  </si>
  <si>
    <t>Capital Gains Tax Rate</t>
  </si>
  <si>
    <t>Cumulative Profit from Selling and Investing, net of Taxes</t>
  </si>
  <si>
    <t>FundamentalFinance.com</t>
  </si>
  <si>
    <t>Rent vs Sell Table</t>
  </si>
  <si>
    <t>Fill out assumptions in the highlighted cells, then view the table below to see profit from renting versus selling</t>
  </si>
  <si>
    <t>General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</si>
</sst>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0.0%"/>
    <numFmt numFmtId="167" formatCode="&quot;$&quot;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67" fontId="0" fillId="0" borderId="0" xfId="0" applyNumberFormat="1"/>
    <xf numFmtId="0" fontId="0" fillId="0" borderId="0" xfId="0" applyAlignment="1">
      <alignment horizontal="left" indent="1"/>
    </xf>
    <xf numFmtId="164" fontId="0" fillId="2" borderId="1" xfId="0" applyNumberFormat="1" applyFill="1" applyBorder="1"/>
    <xf numFmtId="165" fontId="0" fillId="2" borderId="1" xfId="1" applyNumberFormat="1" applyFont="1" applyFill="1" applyBorder="1"/>
    <xf numFmtId="165" fontId="0" fillId="2" borderId="1" xfId="0" applyNumberFormat="1" applyFill="1" applyBorder="1"/>
    <xf numFmtId="0" fontId="7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0" fontId="0" fillId="2" borderId="1" xfId="1" applyNumberFormat="1" applyFont="1" applyFill="1" applyBorder="1"/>
    <xf numFmtId="0" fontId="2" fillId="5" borderId="0" xfId="0" applyFont="1" applyFill="1" applyAlignment="1">
      <alignment horizontal="right" wrapText="1"/>
    </xf>
    <xf numFmtId="164" fontId="2" fillId="5" borderId="0" xfId="0" applyNumberFormat="1" applyFont="1" applyFill="1"/>
    <xf numFmtId="0" fontId="2" fillId="0" borderId="2" xfId="0" applyFont="1" applyFill="1" applyBorder="1" applyAlignment="1">
      <alignment horizontal="left"/>
    </xf>
    <xf numFmtId="0" fontId="0" fillId="0" borderId="2" xfId="0" applyBorder="1"/>
    <xf numFmtId="0" fontId="0" fillId="4" borderId="0" xfId="0" applyFill="1" applyAlignment="1">
      <alignment wrapText="1"/>
    </xf>
    <xf numFmtId="0" fontId="0" fillId="4" borderId="0" xfId="0" applyFill="1"/>
    <xf numFmtId="0" fontId="2" fillId="3" borderId="0" xfId="0" applyFont="1" applyFill="1"/>
    <xf numFmtId="0" fontId="0" fillId="3" borderId="0" xfId="0" applyFill="1"/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R59"/>
  <sheetViews>
    <sheetView tabSelected="1" workbookViewId="0">
      <selection activeCell="B2" sqref="B2"/>
    </sheetView>
  </sheetViews>
  <sheetFormatPr defaultRowHeight="15" x14ac:dyDescent="0.25"/>
  <cols>
    <col min="2" max="2" width="32.7109375" bestFit="1" customWidth="1"/>
    <col min="4" max="4" width="9.85546875" bestFit="1" customWidth="1"/>
    <col min="7" max="7" width="9.5703125" bestFit="1" customWidth="1"/>
    <col min="11" max="11" width="9.85546875" bestFit="1" customWidth="1"/>
    <col min="13" max="13" width="11.85546875" bestFit="1" customWidth="1"/>
    <col min="14" max="14" width="13.140625" bestFit="1" customWidth="1"/>
    <col min="16" max="16" width="14.42578125" bestFit="1" customWidth="1"/>
    <col min="18" max="18" width="13.28515625" bestFit="1" customWidth="1"/>
  </cols>
  <sheetData>
    <row r="2" spans="2:4" s="21" customFormat="1" x14ac:dyDescent="0.25">
      <c r="B2" s="20" t="s">
        <v>43</v>
      </c>
    </row>
    <row r="3" spans="2:4" s="19" customFormat="1" ht="60" x14ac:dyDescent="0.25">
      <c r="B3" s="18" t="s">
        <v>45</v>
      </c>
    </row>
    <row r="5" spans="2:4" x14ac:dyDescent="0.25">
      <c r="B5" s="8" t="s">
        <v>46</v>
      </c>
    </row>
    <row r="6" spans="2:4" x14ac:dyDescent="0.25">
      <c r="B6" s="4" t="s">
        <v>0</v>
      </c>
      <c r="C6" s="6">
        <v>0.25</v>
      </c>
    </row>
    <row r="7" spans="2:4" x14ac:dyDescent="0.25">
      <c r="B7" s="4" t="s">
        <v>41</v>
      </c>
      <c r="C7" s="6">
        <v>0.15</v>
      </c>
    </row>
    <row r="8" spans="2:4" x14ac:dyDescent="0.25">
      <c r="B8" s="4" t="s">
        <v>1</v>
      </c>
      <c r="C8" s="6">
        <v>0.1</v>
      </c>
    </row>
    <row r="9" spans="2:4" x14ac:dyDescent="0.25">
      <c r="B9" s="4" t="s">
        <v>6</v>
      </c>
      <c r="C9" s="6">
        <v>3.5000000000000003E-2</v>
      </c>
    </row>
    <row r="11" spans="2:4" x14ac:dyDescent="0.25">
      <c r="B11" s="8" t="s">
        <v>2</v>
      </c>
    </row>
    <row r="12" spans="2:4" x14ac:dyDescent="0.25">
      <c r="B12" s="4" t="s">
        <v>3</v>
      </c>
      <c r="C12" s="5">
        <v>200000</v>
      </c>
    </row>
    <row r="13" spans="2:4" x14ac:dyDescent="0.25">
      <c r="B13" s="4" t="s">
        <v>4</v>
      </c>
      <c r="C13" s="5">
        <v>150000</v>
      </c>
    </row>
    <row r="14" spans="2:4" x14ac:dyDescent="0.25">
      <c r="C14" s="1"/>
    </row>
    <row r="15" spans="2:4" x14ac:dyDescent="0.25">
      <c r="C15" s="22" t="s">
        <v>9</v>
      </c>
      <c r="D15" s="22" t="s">
        <v>10</v>
      </c>
    </row>
    <row r="16" spans="2:4" x14ac:dyDescent="0.25">
      <c r="B16" s="8" t="s">
        <v>20</v>
      </c>
    </row>
    <row r="17" spans="2:5" x14ac:dyDescent="0.25">
      <c r="B17" s="4" t="s">
        <v>11</v>
      </c>
      <c r="C17" s="5">
        <v>900</v>
      </c>
      <c r="D17" s="1">
        <f t="shared" ref="D17:D20" si="0">C17*12</f>
        <v>10800</v>
      </c>
    </row>
    <row r="18" spans="2:5" x14ac:dyDescent="0.25">
      <c r="B18" s="4" t="s">
        <v>12</v>
      </c>
      <c r="C18" s="5">
        <f>1500/12</f>
        <v>125</v>
      </c>
      <c r="D18" s="1">
        <f t="shared" si="0"/>
        <v>1500</v>
      </c>
    </row>
    <row r="19" spans="2:5" x14ac:dyDescent="0.25">
      <c r="B19" s="4" t="s">
        <v>13</v>
      </c>
      <c r="C19" s="5">
        <f>600/12</f>
        <v>50</v>
      </c>
      <c r="D19" s="1">
        <f t="shared" si="0"/>
        <v>600</v>
      </c>
    </row>
    <row r="20" spans="2:5" x14ac:dyDescent="0.25">
      <c r="B20" s="4" t="s">
        <v>14</v>
      </c>
      <c r="C20" s="5">
        <v>25</v>
      </c>
      <c r="D20" s="1">
        <f t="shared" si="0"/>
        <v>300</v>
      </c>
    </row>
    <row r="21" spans="2:5" x14ac:dyDescent="0.25">
      <c r="B21" s="4" t="s">
        <v>17</v>
      </c>
      <c r="C21" s="1">
        <f>SUM(C17:C20)</f>
        <v>1100</v>
      </c>
      <c r="D21" s="1">
        <f>C21*12</f>
        <v>13200</v>
      </c>
    </row>
    <row r="22" spans="2:5" x14ac:dyDescent="0.25">
      <c r="B22" s="4" t="s">
        <v>38</v>
      </c>
      <c r="C22" s="13">
        <v>4.2500000000000003E-2</v>
      </c>
      <c r="D22" s="1"/>
    </row>
    <row r="24" spans="2:5" x14ac:dyDescent="0.25">
      <c r="B24" s="8" t="s">
        <v>19</v>
      </c>
      <c r="C24" s="22" t="s">
        <v>26</v>
      </c>
      <c r="D24" s="22" t="s">
        <v>27</v>
      </c>
    </row>
    <row r="25" spans="2:5" x14ac:dyDescent="0.25">
      <c r="B25" s="4" t="s">
        <v>22</v>
      </c>
      <c r="C25" s="6">
        <v>0.03</v>
      </c>
      <c r="D25" s="1">
        <f>C25*$C$12</f>
        <v>6000</v>
      </c>
    </row>
    <row r="26" spans="2:5" x14ac:dyDescent="0.25">
      <c r="B26" s="4" t="s">
        <v>21</v>
      </c>
      <c r="C26" s="6">
        <v>0.03</v>
      </c>
      <c r="D26" s="1">
        <f t="shared" ref="D26:D29" si="1">C26*$C$12</f>
        <v>6000</v>
      </c>
    </row>
    <row r="27" spans="2:5" x14ac:dyDescent="0.25">
      <c r="B27" s="4" t="s">
        <v>23</v>
      </c>
      <c r="C27" s="6">
        <v>0.02</v>
      </c>
      <c r="D27" s="1">
        <f t="shared" si="1"/>
        <v>4000</v>
      </c>
    </row>
    <row r="28" spans="2:5" x14ac:dyDescent="0.25">
      <c r="B28" s="4" t="s">
        <v>24</v>
      </c>
      <c r="C28" s="7">
        <v>5.0000000000000001E-3</v>
      </c>
      <c r="D28" s="1">
        <f t="shared" si="1"/>
        <v>1000</v>
      </c>
    </row>
    <row r="29" spans="2:5" x14ac:dyDescent="0.25">
      <c r="B29" s="4" t="s">
        <v>25</v>
      </c>
      <c r="C29" s="7">
        <v>0.01</v>
      </c>
      <c r="D29" s="1">
        <f t="shared" si="1"/>
        <v>2000</v>
      </c>
    </row>
    <row r="30" spans="2:5" x14ac:dyDescent="0.25">
      <c r="B30" s="4"/>
    </row>
    <row r="32" spans="2:5" x14ac:dyDescent="0.25">
      <c r="B32" s="8" t="s">
        <v>18</v>
      </c>
      <c r="C32" s="22" t="s">
        <v>26</v>
      </c>
      <c r="D32" s="22" t="s">
        <v>9</v>
      </c>
      <c r="E32" s="22" t="s">
        <v>10</v>
      </c>
    </row>
    <row r="33" spans="2:18" x14ac:dyDescent="0.25">
      <c r="B33" s="4" t="s">
        <v>28</v>
      </c>
      <c r="D33" s="5">
        <v>1400</v>
      </c>
      <c r="E33" s="1">
        <f>D33*12</f>
        <v>16800</v>
      </c>
    </row>
    <row r="34" spans="2:18" x14ac:dyDescent="0.25">
      <c r="B34" s="4" t="s">
        <v>16</v>
      </c>
      <c r="C34" s="2">
        <v>0.02</v>
      </c>
    </row>
    <row r="35" spans="2:18" x14ac:dyDescent="0.25">
      <c r="B35" s="4" t="s">
        <v>15</v>
      </c>
      <c r="D35" s="1">
        <f>E35/12</f>
        <v>41.666666666666664</v>
      </c>
      <c r="E35" s="5">
        <v>500</v>
      </c>
    </row>
    <row r="36" spans="2:18" x14ac:dyDescent="0.25">
      <c r="B36" s="4" t="s">
        <v>7</v>
      </c>
      <c r="C36" s="6">
        <v>0.08</v>
      </c>
      <c r="D36" s="3">
        <f>C36*D33</f>
        <v>112</v>
      </c>
      <c r="E36" s="3">
        <f>D36*12</f>
        <v>1344</v>
      </c>
    </row>
    <row r="37" spans="2:18" x14ac:dyDescent="0.25">
      <c r="B37" s="4" t="s">
        <v>8</v>
      </c>
      <c r="C37" s="2">
        <f>E37/E33</f>
        <v>1.7857142857142856E-2</v>
      </c>
      <c r="D37" s="1">
        <f>E37/12</f>
        <v>25</v>
      </c>
      <c r="E37" s="5">
        <v>300</v>
      </c>
    </row>
    <row r="38" spans="2:18" x14ac:dyDescent="0.25">
      <c r="B38" s="4" t="s">
        <v>5</v>
      </c>
      <c r="C38" s="6">
        <f>1/24</f>
        <v>4.1666666666666664E-2</v>
      </c>
    </row>
    <row r="41" spans="2:18" x14ac:dyDescent="0.25">
      <c r="B41" s="16" t="s">
        <v>44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2:18" s="9" customFormat="1" ht="75" x14ac:dyDescent="0.25">
      <c r="B42" s="11" t="s">
        <v>30</v>
      </c>
      <c r="C42" s="11" t="s">
        <v>29</v>
      </c>
      <c r="D42" s="11" t="s">
        <v>37</v>
      </c>
      <c r="E42" s="11" t="s">
        <v>12</v>
      </c>
      <c r="F42" s="11" t="s">
        <v>14</v>
      </c>
      <c r="G42" s="11" t="s">
        <v>31</v>
      </c>
      <c r="H42" s="11" t="s">
        <v>33</v>
      </c>
      <c r="I42" s="11" t="s">
        <v>34</v>
      </c>
      <c r="J42" s="11" t="s">
        <v>35</v>
      </c>
      <c r="K42" s="11" t="s">
        <v>36</v>
      </c>
      <c r="L42" s="11" t="s">
        <v>32</v>
      </c>
      <c r="M42" s="11" t="s">
        <v>4</v>
      </c>
      <c r="N42" s="11" t="s">
        <v>39</v>
      </c>
      <c r="P42" s="14" t="s">
        <v>40</v>
      </c>
      <c r="R42" s="14" t="s">
        <v>42</v>
      </c>
    </row>
    <row r="43" spans="2:18" x14ac:dyDescent="0.25">
      <c r="B43" s="12">
        <v>0</v>
      </c>
      <c r="K43" s="1"/>
      <c r="L43" s="1"/>
      <c r="M43" s="1">
        <f>$C$13</f>
        <v>150000</v>
      </c>
      <c r="N43" s="1">
        <f>$C$12*((1+$C$9)^(B43))*(1-SUM($C$25:$C$29))-M43</f>
        <v>31000</v>
      </c>
      <c r="P43" s="15">
        <f>$N43-(N43+SUM($I$43:I43))*$C$7+SUM($L$43:L43)</f>
        <v>26350</v>
      </c>
      <c r="R43" s="15">
        <f>N43</f>
        <v>31000</v>
      </c>
    </row>
    <row r="44" spans="2:18" x14ac:dyDescent="0.25">
      <c r="B44" s="10">
        <v>1</v>
      </c>
      <c r="C44" s="1">
        <f>$E$33*(1-C38)</f>
        <v>16100</v>
      </c>
      <c r="D44" s="1">
        <f>C44*-$C$36+C44*-$C$37+-$E$35</f>
        <v>-2075.5</v>
      </c>
      <c r="E44" s="1">
        <f>-$D$18</f>
        <v>-1500</v>
      </c>
      <c r="F44" s="1">
        <f>-$D$20</f>
        <v>-300</v>
      </c>
      <c r="G44" s="1">
        <f>-$D$19</f>
        <v>-600</v>
      </c>
      <c r="H44" s="1">
        <f>-$D$17</f>
        <v>-10800</v>
      </c>
      <c r="I44" s="1">
        <f>-$C$12/30</f>
        <v>-6666.666666666667</v>
      </c>
      <c r="J44" s="1">
        <f>SUM(C44:G44,I44)</f>
        <v>4957.833333333333</v>
      </c>
      <c r="K44" s="1">
        <f>-J44*$C$6</f>
        <v>-1239.4583333333333</v>
      </c>
      <c r="L44" s="1">
        <f>SUM(C44:H44,K44)</f>
        <v>-414.95833333333326</v>
      </c>
      <c r="M44" s="1">
        <f>FV($C$22/12,B44*12,$C$17,-$M$43)</f>
        <v>145487.7789489399</v>
      </c>
      <c r="N44" s="1">
        <f t="shared" ref="N44:N58" si="2">$C$12*((1+$C$9)^(B44))*(1-SUM($C$25:$C$29))-M44</f>
        <v>41847.221051060071</v>
      </c>
      <c r="P44" s="15">
        <f>$N44-(N44+SUM($I$43:I44))*$C$7+SUM($L$43:L44)</f>
        <v>36155.179560067721</v>
      </c>
      <c r="R44" s="15">
        <f>$R$43*(1+$C$8)^B44-($R$43*(1+$C$8)^B44-$R$43)*$C$7</f>
        <v>33635</v>
      </c>
    </row>
    <row r="45" spans="2:18" x14ac:dyDescent="0.25">
      <c r="B45" s="10">
        <f>B44+1</f>
        <v>2</v>
      </c>
      <c r="C45" s="1">
        <f>C44*(1+$C$34)</f>
        <v>16422</v>
      </c>
      <c r="D45" s="1">
        <f t="shared" ref="D45:D58" si="3">C45*-$C$36+C45*-$C$37+-$E$35</f>
        <v>-2107.0100000000002</v>
      </c>
      <c r="E45" s="1">
        <f>E44*(1+$C$9)</f>
        <v>-1552.4999999999998</v>
      </c>
      <c r="F45" s="1">
        <f>F44*(1+$C$9)</f>
        <v>-310.5</v>
      </c>
      <c r="G45" s="1">
        <f>G44*(1+$C$9)</f>
        <v>-621</v>
      </c>
      <c r="H45" s="1">
        <f>-$D$17</f>
        <v>-10800</v>
      </c>
      <c r="I45" s="1">
        <f>-$C$12/30</f>
        <v>-6666.666666666667</v>
      </c>
      <c r="J45" s="1">
        <f>SUM(C45:G45,I45)</f>
        <v>5164.3233333333328</v>
      </c>
      <c r="K45" s="1">
        <f>-J45*$C$6</f>
        <v>-1291.0808333333332</v>
      </c>
      <c r="L45" s="1">
        <f>SUM(C45:H45,K45)</f>
        <v>-260.09083333333342</v>
      </c>
      <c r="M45" s="1">
        <f>FV($C$22/12,B45*12,$C$17,-$M$43)</f>
        <v>140780.00854204263</v>
      </c>
      <c r="N45" s="1">
        <f t="shared" si="2"/>
        <v>53111.716457957344</v>
      </c>
      <c r="P45" s="15">
        <f>$N45-(N45+SUM($I$43:I45))*$C$7+SUM($L$43:L45)</f>
        <v>46469.909822597081</v>
      </c>
      <c r="R45" s="15">
        <f>$R$43*(1+$C$8)^B45-($R$43*(1+$C$8)^B45-$R$43)*$C$7</f>
        <v>36533.500000000007</v>
      </c>
    </row>
    <row r="46" spans="2:18" x14ac:dyDescent="0.25">
      <c r="B46" s="10">
        <f t="shared" ref="B46:B53" si="4">B45+1</f>
        <v>3</v>
      </c>
      <c r="C46" s="1">
        <f t="shared" ref="C46:C53" si="5">C45*(1+$C$34)</f>
        <v>16750.439999999999</v>
      </c>
      <c r="D46" s="1">
        <f t="shared" si="3"/>
        <v>-2139.1502</v>
      </c>
      <c r="E46" s="1">
        <f t="shared" ref="E46:E53" si="6">E45*(1+$C$9)</f>
        <v>-1606.8374999999996</v>
      </c>
      <c r="F46" s="1">
        <f t="shared" ref="F46:F53" si="7">F45*(1+$C$9)</f>
        <v>-321.36749999999995</v>
      </c>
      <c r="G46" s="1">
        <f t="shared" ref="G46:G53" si="8">G45*(1+$C$9)</f>
        <v>-642.7349999999999</v>
      </c>
      <c r="H46" s="1">
        <f>-$D$17</f>
        <v>-10800</v>
      </c>
      <c r="I46" s="1">
        <f>-$C$12/30</f>
        <v>-6666.666666666667</v>
      </c>
      <c r="J46" s="1">
        <f>SUM(C46:G46,I46)</f>
        <v>5373.6831333333312</v>
      </c>
      <c r="K46" s="1">
        <f>-J46*$C$6</f>
        <v>-1343.4207833333328</v>
      </c>
      <c r="L46" s="1">
        <f>SUM(C46:H46,K46)</f>
        <v>-103.07098333333465</v>
      </c>
      <c r="M46" s="1">
        <f>FV($C$22/12,B46*12,$C$17,-$M$43)</f>
        <v>135868.21411680049</v>
      </c>
      <c r="N46" s="1">
        <f t="shared" si="2"/>
        <v>64809.721258199483</v>
      </c>
      <c r="P46" s="15">
        <f>$N46-(N46+SUM($I$43:I46))*$C$7+SUM($L$43:L46)</f>
        <v>57310.142919469559</v>
      </c>
      <c r="R46" s="15">
        <f>$R$43*(1+$C$8)^B46-($R$43*(1+$C$8)^B46-$R$43)*$C$7</f>
        <v>39721.850000000013</v>
      </c>
    </row>
    <row r="47" spans="2:18" x14ac:dyDescent="0.25">
      <c r="B47" s="10">
        <f t="shared" si="4"/>
        <v>4</v>
      </c>
      <c r="C47" s="1">
        <f t="shared" si="5"/>
        <v>17085.448799999998</v>
      </c>
      <c r="D47" s="1">
        <f t="shared" si="3"/>
        <v>-2171.9332039999999</v>
      </c>
      <c r="E47" s="1">
        <f t="shared" si="6"/>
        <v>-1663.0768124999995</v>
      </c>
      <c r="F47" s="1">
        <f t="shared" si="7"/>
        <v>-332.61536249999995</v>
      </c>
      <c r="G47" s="1">
        <f t="shared" si="8"/>
        <v>-665.23072499999989</v>
      </c>
      <c r="H47" s="1">
        <f>-$D$17</f>
        <v>-10800</v>
      </c>
      <c r="I47" s="1">
        <f>-$C$12/30</f>
        <v>-6666.666666666667</v>
      </c>
      <c r="J47" s="1">
        <f>SUM(C47:G47,I47)</f>
        <v>5585.9260293333309</v>
      </c>
      <c r="K47" s="1">
        <f>-J47*$C$6</f>
        <v>-1396.4815073333327</v>
      </c>
      <c r="L47" s="1">
        <f>SUM(C47:H47,K47)</f>
        <v>56.111188666665157</v>
      </c>
      <c r="M47" s="1">
        <f>FV($C$22/12,B47*12,$C$17,-$M$43)</f>
        <v>130743.553738186</v>
      </c>
      <c r="N47" s="1">
        <f t="shared" si="2"/>
        <v>76958.109374938955</v>
      </c>
      <c r="P47" s="15">
        <f>$N47-(N47+SUM($I$43:I47))*$C$7+SUM($L$43:L47)</f>
        <v>68692.384007364773</v>
      </c>
      <c r="R47" s="15">
        <f>$R$43*(1+$C$8)^B47-($R$43*(1+$C$8)^B47-$R$43)*$C$7</f>
        <v>43229.035000000011</v>
      </c>
    </row>
    <row r="48" spans="2:18" x14ac:dyDescent="0.25">
      <c r="B48" s="10">
        <f t="shared" si="4"/>
        <v>5</v>
      </c>
      <c r="C48" s="1">
        <f t="shared" si="5"/>
        <v>17427.157776</v>
      </c>
      <c r="D48" s="1">
        <f t="shared" si="3"/>
        <v>-2205.3718680800002</v>
      </c>
      <c r="E48" s="1">
        <f t="shared" si="6"/>
        <v>-1721.2845009374994</v>
      </c>
      <c r="F48" s="1">
        <f t="shared" si="7"/>
        <v>-344.25690018749992</v>
      </c>
      <c r="G48" s="1">
        <f t="shared" si="8"/>
        <v>-688.51380037499985</v>
      </c>
      <c r="H48" s="1">
        <f>-$D$17</f>
        <v>-10800</v>
      </c>
      <c r="I48" s="1">
        <f>-$C$12/30</f>
        <v>-6666.666666666667</v>
      </c>
      <c r="J48" s="1">
        <f>SUM(C48:G48,I48)</f>
        <v>5801.0640397533325</v>
      </c>
      <c r="K48" s="1">
        <f>-J48*$C$6</f>
        <v>-1450.2660099383331</v>
      </c>
      <c r="L48" s="1">
        <f>SUM(C48:H48,K48)</f>
        <v>217.46469648166635</v>
      </c>
      <c r="M48" s="1">
        <f>FV($C$22/12,B48*12,$C$17,-$M$43)</f>
        <v>125396.80228190002</v>
      </c>
      <c r="N48" s="1">
        <f t="shared" si="2"/>
        <v>89574.419040184293</v>
      </c>
      <c r="P48" s="15">
        <f>$N48-(N48+SUM($I$43:I48))*$C$7+SUM($L$43:L48)</f>
        <v>80633.711919304973</v>
      </c>
      <c r="R48" s="15">
        <f>$R$43*(1+$C$8)^B48-($R$43*(1+$C$8)^B48-$R$43)*$C$7</f>
        <v>47086.938500000018</v>
      </c>
    </row>
    <row r="49" spans="2:18" x14ac:dyDescent="0.25">
      <c r="B49" s="10">
        <f t="shared" si="4"/>
        <v>6</v>
      </c>
      <c r="C49" s="1">
        <f t="shared" si="5"/>
        <v>17775.700931520001</v>
      </c>
      <c r="D49" s="1">
        <f t="shared" si="3"/>
        <v>-2239.4793054416</v>
      </c>
      <c r="E49" s="1">
        <f t="shared" si="6"/>
        <v>-1781.5294584703117</v>
      </c>
      <c r="F49" s="1">
        <f t="shared" si="7"/>
        <v>-356.30589169406238</v>
      </c>
      <c r="G49" s="1">
        <f t="shared" si="8"/>
        <v>-712.61178338812476</v>
      </c>
      <c r="H49" s="1">
        <f>-$D$17</f>
        <v>-10800</v>
      </c>
      <c r="I49" s="1">
        <f>-$C$12/30</f>
        <v>-6666.666666666667</v>
      </c>
      <c r="J49" s="1">
        <f>SUM(C49:G49,I49)</f>
        <v>6019.1078258592343</v>
      </c>
      <c r="K49" s="1">
        <f>-J49*$C$6</f>
        <v>-1504.7769564648086</v>
      </c>
      <c r="L49" s="1">
        <f>SUM(C49:H49,K49)</f>
        <v>380.99753606109266</v>
      </c>
      <c r="M49" s="1">
        <f>FV($C$22/12,B49*12,$C$17,-$M$43)</f>
        <v>119818.33482782345</v>
      </c>
      <c r="N49" s="1">
        <f t="shared" si="2"/>
        <v>102676.8792405338</v>
      </c>
      <c r="P49" s="15">
        <f>$N49-(N49+SUM($I$43:I49))*$C$7+SUM($L$43:L49)</f>
        <v>93151.800625663149</v>
      </c>
      <c r="R49" s="15">
        <f>$R$43*(1+$C$8)^B49-($R$43*(1+$C$8)^B49-$R$43)*$C$7</f>
        <v>51330.632350000022</v>
      </c>
    </row>
    <row r="50" spans="2:18" x14ac:dyDescent="0.25">
      <c r="B50" s="10">
        <f t="shared" si="4"/>
        <v>7</v>
      </c>
      <c r="C50" s="1">
        <f t="shared" si="5"/>
        <v>18131.214950150403</v>
      </c>
      <c r="D50" s="1">
        <f t="shared" si="3"/>
        <v>-2274.2688915504323</v>
      </c>
      <c r="E50" s="1">
        <f t="shared" si="6"/>
        <v>-1843.8829895167726</v>
      </c>
      <c r="F50" s="1">
        <f t="shared" si="7"/>
        <v>-368.77659790335451</v>
      </c>
      <c r="G50" s="1">
        <f t="shared" si="8"/>
        <v>-737.55319580670903</v>
      </c>
      <c r="H50" s="1">
        <f>-$D$17</f>
        <v>-10800</v>
      </c>
      <c r="I50" s="1">
        <f>-$C$12/30</f>
        <v>-6666.666666666667</v>
      </c>
      <c r="J50" s="1">
        <f>SUM(C50:G50,I50)</f>
        <v>6240.0666087064665</v>
      </c>
      <c r="K50" s="1">
        <f>-J50*$C$6</f>
        <v>-1560.0166521766166</v>
      </c>
      <c r="L50" s="1">
        <f>SUM(C50:H50,K50)</f>
        <v>546.71662319651682</v>
      </c>
      <c r="M50" s="1">
        <f>FV($C$22/12,B50*12,$C$17,-$M$43)</f>
        <v>113998.10933377972</v>
      </c>
      <c r="N50" s="1">
        <f t="shared" si="2"/>
        <v>116284.43722697001</v>
      </c>
      <c r="P50" s="15">
        <f>$N50-(N50+SUM($I$43:I50))*$C$7+SUM($L$43:L50)</f>
        <v>106264.94153733045</v>
      </c>
      <c r="R50" s="15">
        <f>$R$43*(1+$C$8)^B50-($R$43*(1+$C$8)^B50-$R$43)*$C$7</f>
        <v>55998.69558500003</v>
      </c>
    </row>
    <row r="51" spans="2:18" x14ac:dyDescent="0.25">
      <c r="B51" s="10">
        <f t="shared" si="4"/>
        <v>8</v>
      </c>
      <c r="C51" s="1">
        <f t="shared" si="5"/>
        <v>18493.83924915341</v>
      </c>
      <c r="D51" s="1">
        <f t="shared" si="3"/>
        <v>-2309.7542693814407</v>
      </c>
      <c r="E51" s="1">
        <f t="shared" si="6"/>
        <v>-1908.4188941498594</v>
      </c>
      <c r="F51" s="1">
        <f t="shared" si="7"/>
        <v>-381.68377882997191</v>
      </c>
      <c r="G51" s="1">
        <f t="shared" si="8"/>
        <v>-763.36755765994383</v>
      </c>
      <c r="H51" s="1">
        <f>-$D$17</f>
        <v>-10800</v>
      </c>
      <c r="I51" s="1">
        <f>-$C$12/30</f>
        <v>-6666.666666666667</v>
      </c>
      <c r="J51" s="1">
        <f>SUM(C51:G51,I51)</f>
        <v>6463.9480824655266</v>
      </c>
      <c r="K51" s="1">
        <f>-J51*$C$6</f>
        <v>-1615.9870206163816</v>
      </c>
      <c r="L51" s="1">
        <f>SUM(C51:H51,K51)</f>
        <v>714.6277285158119</v>
      </c>
      <c r="M51" s="1">
        <f>FV($C$22/12,B51*12,$C$17,-$M$43)</f>
        <v>107925.64855841706</v>
      </c>
      <c r="N51" s="1">
        <f t="shared" si="2"/>
        <v>130416.78713195886</v>
      </c>
      <c r="P51" s="15">
        <f>$N51-(N51+SUM($I$43:I51))*$C$7+SUM($L$43:L51)</f>
        <v>119992.06668508677</v>
      </c>
      <c r="R51" s="15">
        <f>$R$43*(1+$C$8)^B51-($R$43*(1+$C$8)^B51-$R$43)*$C$7</f>
        <v>61133.565143500033</v>
      </c>
    </row>
    <row r="52" spans="2:18" x14ac:dyDescent="0.25">
      <c r="B52" s="10">
        <f t="shared" si="4"/>
        <v>9</v>
      </c>
      <c r="C52" s="1">
        <f t="shared" si="5"/>
        <v>18863.71603413648</v>
      </c>
      <c r="D52" s="1">
        <f t="shared" si="3"/>
        <v>-2345.9493547690699</v>
      </c>
      <c r="E52" s="1">
        <f t="shared" si="6"/>
        <v>-1975.2135554451042</v>
      </c>
      <c r="F52" s="1">
        <f t="shared" si="7"/>
        <v>-395.04271108902088</v>
      </c>
      <c r="G52" s="1">
        <f t="shared" si="8"/>
        <v>-790.08542217804177</v>
      </c>
      <c r="H52" s="1">
        <f>-$D$17</f>
        <v>-10800</v>
      </c>
      <c r="I52" s="1">
        <f>-$C$12/30</f>
        <v>-6666.666666666667</v>
      </c>
      <c r="J52" s="1">
        <f>SUM(C52:G52,I52)</f>
        <v>6690.7583239885762</v>
      </c>
      <c r="K52" s="1">
        <f>-J52*$C$6</f>
        <v>-1672.689580997144</v>
      </c>
      <c r="L52" s="1">
        <f>SUM(C52:H52,K52)</f>
        <v>884.73540965809912</v>
      </c>
      <c r="M52" s="1">
        <f>FV($C$22/12,B52*12,$C$17,-$M$43)</f>
        <v>101590.0212006705</v>
      </c>
      <c r="N52" s="1">
        <f t="shared" si="2"/>
        <v>145094.39973886858</v>
      </c>
      <c r="P52" s="15">
        <f>$N52-(N52+SUM($I$43:I52))*$C$7+SUM($L$43:L52)</f>
        <v>134352.77281061813</v>
      </c>
      <c r="R52" s="15">
        <f>$R$43*(1+$C$8)^B52-($R$43*(1+$C$8)^B52-$R$43)*$C$7</f>
        <v>66781.921657850035</v>
      </c>
    </row>
    <row r="53" spans="2:18" x14ac:dyDescent="0.25">
      <c r="B53" s="10">
        <f t="shared" si="4"/>
        <v>10</v>
      </c>
      <c r="C53" s="1">
        <f t="shared" si="5"/>
        <v>19240.990354819209</v>
      </c>
      <c r="D53" s="1">
        <f t="shared" si="3"/>
        <v>-2382.8683418644514</v>
      </c>
      <c r="E53" s="1">
        <f t="shared" si="6"/>
        <v>-2044.3460298856828</v>
      </c>
      <c r="F53" s="1">
        <f t="shared" si="7"/>
        <v>-408.86920597713657</v>
      </c>
      <c r="G53" s="1">
        <f t="shared" si="8"/>
        <v>-817.73841195427315</v>
      </c>
      <c r="H53" s="1">
        <f>-$D$17</f>
        <v>-10800</v>
      </c>
      <c r="I53" s="1">
        <f>-$C$12/30</f>
        <v>-6666.666666666667</v>
      </c>
      <c r="J53" s="1">
        <f>SUM(C53:G53,I53)</f>
        <v>6920.5016984709991</v>
      </c>
      <c r="K53" s="1">
        <f>-J53*$C$6</f>
        <v>-1730.1254246177498</v>
      </c>
      <c r="L53" s="1">
        <f>SUM(C53:H53,K53)</f>
        <v>1057.0429405199163</v>
      </c>
      <c r="M53" s="1">
        <f>FV($C$22/12,B53*12,$C$17,-$M$43)</f>
        <v>94979.822221850482</v>
      </c>
      <c r="N53" s="1">
        <f t="shared" si="2"/>
        <v>160338.55345057242</v>
      </c>
      <c r="P53" s="15">
        <f>$N53-(N53+SUM($I$43:I53))*$C$7+SUM($L$43:L53)</f>
        <v>149367.34640608632</v>
      </c>
      <c r="R53" s="15">
        <f>$R$43*(1+$C$8)^B53-($R$43*(1+$C$8)^B53-$R$43)*$C$7</f>
        <v>72995.113823635053</v>
      </c>
    </row>
    <row r="54" spans="2:18" x14ac:dyDescent="0.25">
      <c r="B54" s="10">
        <f t="shared" ref="B54:B58" si="9">B53+1</f>
        <v>11</v>
      </c>
      <c r="C54" s="1">
        <f>C53*(1+$C$34)</f>
        <v>19625.810161915593</v>
      </c>
      <c r="D54" s="1">
        <f t="shared" si="3"/>
        <v>-2420.5257087017399</v>
      </c>
      <c r="E54" s="1">
        <f>E53*(1+$C$9)</f>
        <v>-2115.8981409316816</v>
      </c>
      <c r="F54" s="1">
        <f>F53*(1+$C$9)</f>
        <v>-423.17962818633634</v>
      </c>
      <c r="G54" s="1">
        <f>G53*(1+$C$9)</f>
        <v>-846.35925637267269</v>
      </c>
      <c r="H54" s="1">
        <f>-$D$17</f>
        <v>-10800</v>
      </c>
      <c r="I54" s="1">
        <f>-$C$12/30</f>
        <v>-6666.666666666667</v>
      </c>
      <c r="J54" s="1">
        <f>SUM(C54:G54,I54)</f>
        <v>7153.1807610564965</v>
      </c>
      <c r="K54" s="1">
        <f>-J54*$C$6</f>
        <v>-1788.2951902641241</v>
      </c>
      <c r="L54" s="1">
        <f>SUM(C54:H54,K54)</f>
        <v>1231.5522374590394</v>
      </c>
      <c r="M54" s="1">
        <f>FV($C$22/12,B54*12,$C$17,-$M$43)</f>
        <v>88083.152314936247</v>
      </c>
      <c r="N54" s="1">
        <f t="shared" si="2"/>
        <v>176171.3665060215</v>
      </c>
      <c r="P54" s="15">
        <f>$N54-(N54+SUM($I$43:I54))*$C$7+SUM($L$43:L54)</f>
        <v>165056.78974067708</v>
      </c>
      <c r="R54" s="15">
        <f>$R$43*(1+$C$8)^B54-($R$43*(1+$C$8)^B54-$R$43)*$C$7</f>
        <v>79829.625205998571</v>
      </c>
    </row>
    <row r="55" spans="2:18" x14ac:dyDescent="0.25">
      <c r="B55" s="10">
        <f t="shared" si="9"/>
        <v>12</v>
      </c>
      <c r="C55" s="1">
        <f>C54*(1+$C$34)</f>
        <v>20018.326365153905</v>
      </c>
      <c r="D55" s="1">
        <f t="shared" si="3"/>
        <v>-2458.936222875775</v>
      </c>
      <c r="E55" s="1">
        <f>E54*(1+$C$9)</f>
        <v>-2189.9545758642903</v>
      </c>
      <c r="F55" s="1">
        <f>F54*(1+$C$9)</f>
        <v>-437.99091517285808</v>
      </c>
      <c r="G55" s="1">
        <f>G54*(1+$C$9)</f>
        <v>-875.98183034571616</v>
      </c>
      <c r="H55" s="1">
        <f>-$D$17</f>
        <v>-10800</v>
      </c>
      <c r="I55" s="1">
        <f>-$C$12/30</f>
        <v>-6666.666666666667</v>
      </c>
      <c r="J55" s="1">
        <f>SUM(C55:G55,I55)</f>
        <v>7388.7961542285984</v>
      </c>
      <c r="K55" s="1">
        <f>-J55*$C$6</f>
        <v>-1847.1990385571496</v>
      </c>
      <c r="L55" s="1">
        <f>SUM(C55:H55,K55)</f>
        <v>1408.2637823381158</v>
      </c>
      <c r="M55" s="1">
        <f>FV($C$22/12,B55*12,$C$17,-$M$43)</f>
        <v>80887.596484115027</v>
      </c>
      <c r="N55" s="1">
        <f t="shared" si="2"/>
        <v>192615.83049557617</v>
      </c>
      <c r="P55" s="15">
        <f>$N55-(N55+SUM($I$43:I55))*$C$7+SUM($L$43:L55)</f>
        <v>181442.84791413666</v>
      </c>
      <c r="R55" s="15">
        <f>$R$43*(1+$C$8)^B55-($R$43*(1+$C$8)^B55-$R$43)*$C$7</f>
        <v>87347.587726598431</v>
      </c>
    </row>
    <row r="56" spans="2:18" x14ac:dyDescent="0.25">
      <c r="B56" s="10">
        <f t="shared" si="9"/>
        <v>13</v>
      </c>
      <c r="C56" s="1">
        <f>C55*(1+$C$34)</f>
        <v>20418.692892456984</v>
      </c>
      <c r="D56" s="1">
        <f t="shared" si="3"/>
        <v>-2498.1149473332907</v>
      </c>
      <c r="E56" s="1">
        <f>E55*(1+$C$9)</f>
        <v>-2266.6029860195404</v>
      </c>
      <c r="F56" s="1">
        <f>F55*(1+$C$9)</f>
        <v>-453.32059720390805</v>
      </c>
      <c r="G56" s="1">
        <f>G55*(1+$C$9)</f>
        <v>-906.6411944078161</v>
      </c>
      <c r="H56" s="1">
        <f>-$D$17</f>
        <v>-10800</v>
      </c>
      <c r="I56" s="1">
        <f>-$C$12/30</f>
        <v>-6666.666666666667</v>
      </c>
      <c r="J56" s="1">
        <f>SUM(C56:G56,I56)</f>
        <v>7627.3465008257599</v>
      </c>
      <c r="K56" s="1">
        <f>-J56*$C$6</f>
        <v>-1906.83662520644</v>
      </c>
      <c r="L56" s="1">
        <f>SUM(C56:H56,K56)</f>
        <v>1587.1765422859869</v>
      </c>
      <c r="M56" s="1">
        <f>FV($C$22/12,B56*12,$C$17,-$M$43)</f>
        <v>73380.201696007745</v>
      </c>
      <c r="N56" s="1">
        <f t="shared" si="2"/>
        <v>209695.8452279726</v>
      </c>
      <c r="P56" s="15">
        <f>$N56-(N56+SUM($I$43:I56))*$C$7+SUM($L$43:L56)</f>
        <v>198548.03697895963</v>
      </c>
      <c r="R56" s="15">
        <f>$R$43*(1+$C$8)^B56-($R$43*(1+$C$8)^B56-$R$43)*$C$7</f>
        <v>95617.346499258259</v>
      </c>
    </row>
    <row r="57" spans="2:18" x14ac:dyDescent="0.25">
      <c r="B57" s="10">
        <f t="shared" si="9"/>
        <v>14</v>
      </c>
      <c r="C57" s="1">
        <f>C56*(1+$C$34)</f>
        <v>20827.066750306123</v>
      </c>
      <c r="D57" s="1">
        <f t="shared" si="3"/>
        <v>-2538.0772462799564</v>
      </c>
      <c r="E57" s="1">
        <f>E56*(1+$C$9)</f>
        <v>-2345.9340905302242</v>
      </c>
      <c r="F57" s="1">
        <f>F56*(1+$C$9)</f>
        <v>-469.18681810604477</v>
      </c>
      <c r="G57" s="1">
        <f>G56*(1+$C$9)</f>
        <v>-938.37363621208954</v>
      </c>
      <c r="H57" s="1">
        <f>-$D$17</f>
        <v>-10800</v>
      </c>
      <c r="I57" s="1">
        <f>-$C$12/30</f>
        <v>-6666.666666666667</v>
      </c>
      <c r="J57" s="1">
        <f>SUM(C57:G57,I57)</f>
        <v>7868.8282925111407</v>
      </c>
      <c r="K57" s="1">
        <f>-J57*$C$6</f>
        <v>-1967.2070731277852</v>
      </c>
      <c r="L57" s="1">
        <f>SUM(C57:H57,K57)</f>
        <v>1768.2878860500225</v>
      </c>
      <c r="M57" s="1">
        <f>FV($C$22/12,B57*12,$C$17,-$M$43)</f>
        <v>65547.453562349081</v>
      </c>
      <c r="N57" s="1">
        <f t="shared" si="2"/>
        <v>227436.25500397058</v>
      </c>
      <c r="P57" s="15">
        <f>$N57-(N57+SUM($I$43:I57))*$C$7+SUM($L$43:L57)</f>
        <v>216395.67317460792</v>
      </c>
      <c r="R57" s="15">
        <f>$R$43*(1+$C$8)^B57-($R$43*(1+$C$8)^B57-$R$43)*$C$7</f>
        <v>104714.08114918412</v>
      </c>
    </row>
    <row r="58" spans="2:18" x14ac:dyDescent="0.25">
      <c r="B58" s="10">
        <f t="shared" si="9"/>
        <v>15</v>
      </c>
      <c r="C58" s="1">
        <f>C57*(1+$C$34)</f>
        <v>21243.608085312248</v>
      </c>
      <c r="D58" s="1">
        <f t="shared" si="3"/>
        <v>-2578.8387912055559</v>
      </c>
      <c r="E58" s="1">
        <f>E57*(1+$C$9)</f>
        <v>-2428.0417836987817</v>
      </c>
      <c r="F58" s="1">
        <f>F57*(1+$C$9)</f>
        <v>-485.60835673975629</v>
      </c>
      <c r="G58" s="1">
        <f>G57*(1+$C$9)</f>
        <v>-971.21671347951258</v>
      </c>
      <c r="H58" s="1">
        <f>-$D$17</f>
        <v>-10800</v>
      </c>
      <c r="I58" s="1">
        <f>-$C$12/30</f>
        <v>-6666.666666666667</v>
      </c>
      <c r="J58" s="1">
        <f>SUM(C58:G58,I58)</f>
        <v>8113.2357735219748</v>
      </c>
      <c r="K58" s="1">
        <f>-J58*$C$6</f>
        <v>-2028.3089433804937</v>
      </c>
      <c r="L58" s="1">
        <f>SUM(C58:H58,K58)</f>
        <v>1951.5934968081481</v>
      </c>
      <c r="M58" s="1">
        <f>FV($C$22/12,B58*12,$C$17,-$M$43)</f>
        <v>57375.252012149373</v>
      </c>
      <c r="N58" s="1">
        <f t="shared" si="2"/>
        <v>245862.88635399152</v>
      </c>
      <c r="P58" s="15">
        <f>$N58-(N58+SUM($I$43:I58))*$C$7+SUM($L$43:L58)</f>
        <v>235009.90331893385</v>
      </c>
      <c r="R58" s="15">
        <f>$R$43*(1+$C$8)^B58-($R$43*(1+$C$8)^B58-$R$43)*$C$7</f>
        <v>114720.48926410252</v>
      </c>
    </row>
    <row r="59" spans="2:18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RentOut_Vs_Sell</vt:lpstr>
    </vt:vector>
  </TitlesOfParts>
  <Company>eonor.com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FundamentalFinance.com</dc:creator>
  <cp:lastModifiedBy>Blake Taylor</cp:lastModifiedBy>
  <dcterms:created xsi:type="dcterms:W3CDTF">2015-01-29T03:51:19Z</dcterms:created>
  <dcterms:modified xsi:type="dcterms:W3CDTF">2015-02-04T04:06:36Z</dcterms:modified>
</cp:coreProperties>
</file>